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2300" windowHeight="14840" tabRatio="500"/>
  </bookViews>
  <sheets>
    <sheet name="Cost Model" sheetId="2" r:id="rId1"/>
    <sheet name="Tables" sheetId="4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1" i="2"/>
  <c r="E41"/>
  <c r="E42"/>
  <c r="E43"/>
  <c r="E45"/>
  <c r="E50"/>
  <c r="E31"/>
  <c r="E32"/>
  <c r="C29"/>
  <c r="E29"/>
  <c r="E35"/>
  <c r="E36"/>
  <c r="E37"/>
  <c r="E38"/>
  <c r="E30"/>
  <c r="E34"/>
  <c r="E39"/>
  <c r="E58"/>
  <c r="C54"/>
  <c r="E54"/>
  <c r="E55"/>
  <c r="E56"/>
  <c r="E44"/>
  <c r="E57"/>
  <c r="E59"/>
  <c r="E60"/>
  <c r="E61"/>
  <c r="C39"/>
  <c r="C20"/>
  <c r="C67"/>
  <c r="E52"/>
  <c r="E53"/>
  <c r="C21"/>
  <c r="C22"/>
  <c r="E47"/>
  <c r="E48"/>
  <c r="E67"/>
  <c r="E68"/>
  <c r="E69"/>
  <c r="E64"/>
  <c r="E65"/>
  <c r="E70"/>
  <c r="E71"/>
  <c r="E72"/>
  <c r="E73"/>
  <c r="C77"/>
  <c r="E77"/>
  <c r="E78"/>
  <c r="E79"/>
  <c r="E80"/>
  <c r="E81"/>
  <c r="E82"/>
  <c r="C23"/>
  <c r="C48"/>
  <c r="E62"/>
  <c r="E74"/>
  <c r="C24"/>
  <c r="E51"/>
  <c r="C51"/>
  <c r="E33"/>
  <c r="C33"/>
  <c r="C46"/>
  <c r="E46"/>
  <c r="C25"/>
  <c r="E66"/>
  <c r="C66"/>
  <c r="C18"/>
</calcChain>
</file>

<file path=xl/sharedStrings.xml><?xml version="1.0" encoding="utf-8"?>
<sst xmlns="http://schemas.openxmlformats.org/spreadsheetml/2006/main" count="303" uniqueCount="213">
  <si>
    <r>
      <t>"</t>
    </r>
    <r>
      <rPr>
        <i/>
        <sz val="14"/>
        <rFont val="Calibri"/>
      </rPr>
      <t>The feasibility and current estimated capital costs of producing jet fuel at sea using carbon dioxide and hydrogen</t>
    </r>
    <r>
      <rPr>
        <sz val="14"/>
        <rFont val="Calibri"/>
      </rPr>
      <t>", Heather D. Willauer, Dennis R. Hardy, Kenneth R. Schultz, and Frederick W. Williams, J. Renewable Sustainable Energy 4, 033111 (2012).</t>
    </r>
    <phoneticPr fontId="1" type="noConversion"/>
  </si>
  <si>
    <t>Number of electrolysis units</t>
    <phoneticPr fontId="1" type="noConversion"/>
  </si>
  <si>
    <t>Capital / $2m</t>
    <phoneticPr fontId="1" type="noConversion"/>
  </si>
  <si>
    <t>Value</t>
    <phoneticPr fontId="1" type="noConversion"/>
  </si>
  <si>
    <t>Unit</t>
    <phoneticPr fontId="1" type="noConversion"/>
  </si>
  <si>
    <t>Zero Carbon Seawater Synfuel</t>
  </si>
  <si>
    <t>Carbon Capture</t>
    <phoneticPr fontId="1" type="noConversion"/>
  </si>
  <si>
    <t>kJ/mol</t>
    <phoneticPr fontId="1" type="noConversion"/>
  </si>
  <si>
    <t>$/J</t>
    <phoneticPr fontId="1" type="noConversion"/>
  </si>
  <si>
    <t>$/mol</t>
    <phoneticPr fontId="1" type="noConversion"/>
  </si>
  <si>
    <t>gal/yr</t>
    <phoneticPr fontId="1" type="noConversion"/>
  </si>
  <si>
    <t>kg/yr</t>
    <phoneticPr fontId="1" type="noConversion"/>
  </si>
  <si>
    <t>mol/yr</t>
    <phoneticPr fontId="1" type="noConversion"/>
  </si>
  <si>
    <t>J/yr</t>
    <phoneticPr fontId="1" type="noConversion"/>
  </si>
  <si>
    <t>Carbon Capture</t>
    <phoneticPr fontId="1" type="noConversion"/>
  </si>
  <si>
    <t>Power</t>
    <phoneticPr fontId="1" type="noConversion"/>
  </si>
  <si>
    <t>J/yr</t>
    <phoneticPr fontId="1" type="noConversion"/>
  </si>
  <si>
    <t>Cost to extract CO2 from seawter and "sequester" as hydrocarbon.</t>
    <phoneticPr fontId="1" type="noConversion"/>
  </si>
  <si>
    <t>Table 2. Global carbon budget 1980-1999 /Pg</t>
    <phoneticPr fontId="1" type="noConversion"/>
  </si>
  <si>
    <t>Source /Sink</t>
    <phoneticPr fontId="1" type="noConversion"/>
  </si>
  <si>
    <t>Emissions, fossil fuels and cement</t>
    <phoneticPr fontId="1" type="noConversion"/>
  </si>
  <si>
    <t>Atmosphere</t>
    <phoneticPr fontId="1" type="noConversion"/>
  </si>
  <si>
    <t>Ocean</t>
    <phoneticPr fontId="1" type="noConversion"/>
  </si>
  <si>
    <t>Land (Net)</t>
    <phoneticPr fontId="1" type="noConversion"/>
  </si>
  <si>
    <t>Petagrams carbon</t>
    <phoneticPr fontId="1" type="noConversion"/>
  </si>
  <si>
    <t>+117±5</t>
    <phoneticPr fontId="1" type="noConversion"/>
  </si>
  <si>
    <t>-65±1</t>
    <phoneticPr fontId="1" type="noConversion"/>
  </si>
  <si>
    <t>-37±8</t>
    <phoneticPr fontId="1" type="noConversion"/>
  </si>
  <si>
    <t>-15±9</t>
    <phoneticPr fontId="1" type="noConversion"/>
  </si>
  <si>
    <t>$.yr/kg</t>
    <phoneticPr fontId="1" type="noConversion"/>
  </si>
  <si>
    <t>Capital cost of plant</t>
    <phoneticPr fontId="1" type="noConversion"/>
  </si>
  <si>
    <t>Annual cost  of capital (30yr/8%)</t>
    <phoneticPr fontId="1" type="noConversion"/>
  </si>
  <si>
    <t>Annual Operation &amp; Maintenance</t>
    <phoneticPr fontId="1" type="noConversion"/>
  </si>
  <si>
    <t>Cost of energy per mole CO2 captured</t>
    <phoneticPr fontId="1" type="noConversion"/>
  </si>
  <si>
    <t>Annual energy cost</t>
    <phoneticPr fontId="1" type="noConversion"/>
  </si>
  <si>
    <t>Moles CO2 required</t>
    <phoneticPr fontId="1" type="noConversion"/>
  </si>
  <si>
    <t>$.day/gal</t>
    <phoneticPr fontId="1" type="noConversion"/>
  </si>
  <si>
    <t>Cost per (kg per year) of CO2 capture capacity</t>
    <phoneticPr fontId="1" type="noConversion"/>
  </si>
  <si>
    <t>kg CO2 per litre C11H22</t>
    <phoneticPr fontId="1" type="noConversion"/>
  </si>
  <si>
    <t>kg/L</t>
    <phoneticPr fontId="1" type="noConversion"/>
  </si>
  <si>
    <t>Total annual cost</t>
    <phoneticPr fontId="1" type="noConversion"/>
  </si>
  <si>
    <t>Cost of carbon capture plant and energy</t>
    <phoneticPr fontId="1" type="noConversion"/>
  </si>
  <si>
    <t>Electrolysis energy for hydrogen</t>
    <phoneticPr fontId="1" type="noConversion"/>
  </si>
  <si>
    <t>Energy cost per tonne CO2 captured</t>
    <phoneticPr fontId="1" type="noConversion"/>
  </si>
  <si>
    <t>W</t>
    <phoneticPr fontId="1" type="noConversion"/>
  </si>
  <si>
    <t>Annual energy cost</t>
    <phoneticPr fontId="1" type="noConversion"/>
  </si>
  <si>
    <t>Cost of H2 production capacity</t>
    <phoneticPr fontId="1" type="noConversion"/>
  </si>
  <si>
    <t>Cost of CO2 capture capacity</t>
    <phoneticPr fontId="1" type="noConversion"/>
  </si>
  <si>
    <t>Joule per mole of CO2 recovered (electrochemical only)</t>
    <phoneticPr fontId="1" type="noConversion"/>
  </si>
  <si>
    <t>Hydrogen Generation</t>
    <phoneticPr fontId="1" type="noConversion"/>
  </si>
  <si>
    <t>Hydrogen technologies electrolyzer performance</t>
    <phoneticPr fontId="1" type="noConversion"/>
  </si>
  <si>
    <t>Electricity Production</t>
    <phoneticPr fontId="1" type="noConversion"/>
  </si>
  <si>
    <t>L/yr</t>
    <phoneticPr fontId="1" type="noConversion"/>
  </si>
  <si>
    <t>Goal seek with this value to fit available power</t>
    <phoneticPr fontId="1" type="noConversion"/>
  </si>
  <si>
    <t>Mass output</t>
    <phoneticPr fontId="1" type="noConversion"/>
  </si>
  <si>
    <t>Power</t>
    <phoneticPr fontId="1" type="noConversion"/>
  </si>
  <si>
    <t>Table 1. Cost Scenarios</t>
    <phoneticPr fontId="1" type="noConversion"/>
  </si>
  <si>
    <t>Value</t>
    <phoneticPr fontId="1" type="noConversion"/>
  </si>
  <si>
    <t>Unit</t>
    <phoneticPr fontId="1" type="noConversion"/>
  </si>
  <si>
    <t>L/yr</t>
    <phoneticPr fontId="1" type="noConversion"/>
  </si>
  <si>
    <t>Cost of Navy nuclear electricity</t>
    <phoneticPr fontId="1" type="noConversion"/>
  </si>
  <si>
    <t>c/kWhr</t>
    <phoneticPr fontId="1" type="noConversion"/>
  </si>
  <si>
    <t>Carbon Capture</t>
    <phoneticPr fontId="1" type="noConversion"/>
  </si>
  <si>
    <t>tCO2/yr</t>
    <phoneticPr fontId="1" type="noConversion"/>
  </si>
  <si>
    <t>CO2 Capture Cost</t>
    <phoneticPr fontId="1" type="noConversion"/>
  </si>
  <si>
    <t>$/tCO2</t>
    <phoneticPr fontId="1" type="noConversion"/>
  </si>
  <si>
    <t>CO2 Sequestration Cost</t>
    <phoneticPr fontId="1" type="noConversion"/>
  </si>
  <si>
    <t>Process Modules</t>
    <phoneticPr fontId="1" type="noConversion"/>
  </si>
  <si>
    <t>Unit</t>
    <phoneticPr fontId="1" type="noConversion"/>
  </si>
  <si>
    <t>$</t>
    <phoneticPr fontId="1" type="noConversion"/>
  </si>
  <si>
    <t>Nuclear Plant Cost of Capacity</t>
    <phoneticPr fontId="1" type="noConversion"/>
  </si>
  <si>
    <t>J/mol</t>
    <phoneticPr fontId="1" type="noConversion"/>
  </si>
  <si>
    <t>Capital cost of plant</t>
    <phoneticPr fontId="1" type="noConversion"/>
  </si>
  <si>
    <t>$</t>
    <phoneticPr fontId="1" type="noConversion"/>
  </si>
  <si>
    <t>Cost of carbon capture per litre of fuel</t>
    <phoneticPr fontId="1" type="noConversion"/>
  </si>
  <si>
    <t>$/L</t>
    <phoneticPr fontId="1" type="noConversion"/>
  </si>
  <si>
    <t>Hydrogen Generation</t>
    <phoneticPr fontId="1" type="noConversion"/>
  </si>
  <si>
    <t>Number of electrolysis units</t>
    <phoneticPr fontId="1" type="noConversion"/>
  </si>
  <si>
    <t>Cost of hydrogen generation per litre of fuel</t>
    <phoneticPr fontId="1" type="noConversion"/>
  </si>
  <si>
    <t>Fischer Tropsch Synfuel Plant</t>
    <phoneticPr fontId="1" type="noConversion"/>
  </si>
  <si>
    <t>Cost of fuel synthesis per litre</t>
    <phoneticPr fontId="1" type="noConversion"/>
  </si>
  <si>
    <t>Scenario</t>
    <phoneticPr fontId="1" type="noConversion"/>
  </si>
  <si>
    <t>Carbon capture $/tCO2</t>
    <phoneticPr fontId="1" type="noConversion"/>
  </si>
  <si>
    <t>Synfuel $/litre</t>
    <phoneticPr fontId="1" type="noConversion"/>
  </si>
  <si>
    <t>Cost of Navy nuclear electricity</t>
    <phoneticPr fontId="1" type="noConversion"/>
  </si>
  <si>
    <t>Cost of carbon capture per litre of fuel</t>
    <phoneticPr fontId="1" type="noConversion"/>
  </si>
  <si>
    <t>Cost of hydrogen generation per litre of fuel</t>
    <phoneticPr fontId="1" type="noConversion"/>
  </si>
  <si>
    <t>Cost of fuel synthesis per litre</t>
    <phoneticPr fontId="1" type="noConversion"/>
  </si>
  <si>
    <t>Value</t>
    <phoneticPr fontId="1" type="noConversion"/>
  </si>
  <si>
    <t>Unit</t>
    <phoneticPr fontId="1" type="noConversion"/>
  </si>
  <si>
    <t>Process Modules</t>
    <phoneticPr fontId="1" type="noConversion"/>
  </si>
  <si>
    <t>Zero Carbon Seawater Synfuel</t>
    <phoneticPr fontId="1" type="noConversion"/>
  </si>
  <si>
    <t>Set available power to 200 MW.  This recovers their cost of electricity at 7 c/kWhr.</t>
    <phoneticPr fontId="1" type="noConversion"/>
  </si>
  <si>
    <t>Set fuel production to 29,930,000 gal/yr.</t>
    <phoneticPr fontId="1" type="noConversion"/>
  </si>
  <si>
    <t>wiki.gekgasifier.com, Gas to Liquids page.  Key reactions are -165, -204, -244.5 kJ/mol</t>
    <phoneticPr fontId="1" type="noConversion"/>
  </si>
  <si>
    <t>This gives $5.90/gal., compared to the Navy value of $5.74/gal.</t>
    <phoneticPr fontId="1" type="noConversion"/>
  </si>
  <si>
    <t>The remaining small difference is probably in allowing some of the capital costs to scale with production.</t>
    <phoneticPr fontId="1" type="noConversion"/>
  </si>
  <si>
    <t>$</t>
    <phoneticPr fontId="1" type="noConversion"/>
  </si>
  <si>
    <t>Available Power</t>
    <phoneticPr fontId="1" type="noConversion"/>
  </si>
  <si>
    <t>$.hr/m3</t>
    <phoneticPr fontId="1" type="noConversion"/>
  </si>
  <si>
    <t>$.yr/m3</t>
    <phoneticPr fontId="1" type="noConversion"/>
  </si>
  <si>
    <t>J/s</t>
    <phoneticPr fontId="1" type="noConversion"/>
  </si>
  <si>
    <t>Capital cost of plant capacity</t>
    <phoneticPr fontId="1" type="noConversion"/>
  </si>
  <si>
    <t>$.day/gal</t>
    <phoneticPr fontId="1" type="noConversion"/>
  </si>
  <si>
    <t>5% of capital</t>
    <phoneticPr fontId="1" type="noConversion"/>
  </si>
  <si>
    <t>$.yr/L</t>
    <phoneticPr fontId="1" type="noConversion"/>
  </si>
  <si>
    <t>Fuel Production</t>
    <phoneticPr fontId="1" type="noConversion"/>
  </si>
  <si>
    <t>Operation &amp; Maintenance (5%)</t>
    <phoneticPr fontId="1" type="noConversion"/>
  </si>
  <si>
    <t>Total annual cost of energy</t>
    <phoneticPr fontId="1" type="noConversion"/>
  </si>
  <si>
    <t>$/yr</t>
    <phoneticPr fontId="1" type="noConversion"/>
  </si>
  <si>
    <t>$/yr</t>
    <phoneticPr fontId="1" type="noConversion"/>
  </si>
  <si>
    <t>c/kWhr</t>
    <phoneticPr fontId="1" type="noConversion"/>
  </si>
  <si>
    <t>EIA civilian cost is 11 c/kWhr</t>
    <phoneticPr fontId="1" type="noConversion"/>
  </si>
  <si>
    <t>Energy intensity</t>
    <phoneticPr fontId="1" type="noConversion"/>
  </si>
  <si>
    <t>J/mol</t>
    <phoneticPr fontId="1" type="noConversion"/>
  </si>
  <si>
    <t>$/tonne</t>
    <phoneticPr fontId="1" type="noConversion"/>
  </si>
  <si>
    <t>Cost of capture capacity for fuel</t>
    <phoneticPr fontId="1" type="noConversion"/>
  </si>
  <si>
    <t>$.yr/L</t>
    <phoneticPr fontId="1" type="noConversion"/>
  </si>
  <si>
    <t>$/L</t>
    <phoneticPr fontId="1" type="noConversion"/>
  </si>
  <si>
    <t>Capacity Factor</t>
    <phoneticPr fontId="1" type="noConversion"/>
  </si>
  <si>
    <t>Annual Output</t>
    <phoneticPr fontId="1" type="noConversion"/>
  </si>
  <si>
    <t>Value</t>
    <phoneticPr fontId="1" type="noConversion"/>
  </si>
  <si>
    <t>Units</t>
    <phoneticPr fontId="1" type="noConversion"/>
  </si>
  <si>
    <t>MW</t>
    <phoneticPr fontId="1" type="noConversion"/>
  </si>
  <si>
    <t>mol</t>
    <phoneticPr fontId="1" type="noConversion"/>
  </si>
  <si>
    <t>Volumetric intensity of hydrogen</t>
    <phoneticPr fontId="1" type="noConversion"/>
  </si>
  <si>
    <t>kWhr/m3</t>
    <phoneticPr fontId="1" type="noConversion"/>
  </si>
  <si>
    <t>J/m3</t>
    <phoneticPr fontId="1" type="noConversion"/>
  </si>
  <si>
    <t>Exothermic, so don't calculate energy cost</t>
    <phoneticPr fontId="1" type="noConversion"/>
  </si>
  <si>
    <t>kJ/mol</t>
    <phoneticPr fontId="1" type="noConversion"/>
  </si>
  <si>
    <t>$/yr</t>
    <phoneticPr fontId="1" type="noConversion"/>
  </si>
  <si>
    <t>$/gal</t>
    <phoneticPr fontId="1" type="noConversion"/>
  </si>
  <si>
    <t>Exclusions</t>
    <phoneticPr fontId="1" type="noConversion"/>
  </si>
  <si>
    <t>Hydrocarbon cracking/refining</t>
    <phoneticPr fontId="1" type="noConversion"/>
  </si>
  <si>
    <t>Storage and distribution</t>
    <phoneticPr fontId="1" type="noConversion"/>
  </si>
  <si>
    <t>Profit for producers and distributors</t>
    <phoneticPr fontId="1" type="noConversion"/>
  </si>
  <si>
    <t>Note:</t>
    <phoneticPr fontId="1" type="noConversion"/>
  </si>
  <si>
    <t>To recover the Navy costings:</t>
    <phoneticPr fontId="1" type="noConversion"/>
  </si>
  <si>
    <t>From Navy paper, without explanation. $16m per 82000 gal/day</t>
    <phoneticPr fontId="1" type="noConversion"/>
  </si>
  <si>
    <t>Cost of energy for Fischer Tropsch plant, despite the overall process being exothermic. (Perhaps it fits inside the 5% O&amp;M?)</t>
    <phoneticPr fontId="1" type="noConversion"/>
  </si>
  <si>
    <r>
      <t xml:space="preserve">Values in </t>
    </r>
    <r>
      <rPr>
        <b/>
        <sz val="14"/>
        <rFont val="Calibri"/>
      </rPr>
      <t>black</t>
    </r>
    <r>
      <rPr>
        <sz val="14"/>
        <rFont val="Calibri"/>
      </rPr>
      <t xml:space="preserve"> text are inputs that can be modified by the user.  Values in </t>
    </r>
    <r>
      <rPr>
        <b/>
        <sz val="14"/>
        <color indexed="12"/>
        <rFont val="Calibri"/>
      </rPr>
      <t>blue</t>
    </r>
    <r>
      <rPr>
        <sz val="14"/>
        <rFont val="Calibri"/>
      </rPr>
      <t xml:space="preserve"> are calculated by the spreadsheet and should not be changed.</t>
    </r>
    <phoneticPr fontId="1" type="noConversion"/>
  </si>
  <si>
    <t>John Morgan, Jan 2013.</t>
    <phoneticPr fontId="1" type="noConversion"/>
  </si>
  <si>
    <t>CO2 Sequestration Cost</t>
    <phoneticPr fontId="1" type="noConversion"/>
  </si>
  <si>
    <t>$/CO2</t>
    <phoneticPr fontId="1" type="noConversion"/>
  </si>
  <si>
    <t>This is calculated below, as the power to produce the requested amount of synfuel.</t>
    <phoneticPr fontId="1" type="noConversion"/>
  </si>
  <si>
    <r>
      <t>Use</t>
    </r>
    <r>
      <rPr>
        <i/>
        <sz val="14"/>
        <rFont val="Calibri"/>
      </rPr>
      <t xml:space="preserve"> Goal Seek</t>
    </r>
    <r>
      <rPr>
        <sz val="14"/>
        <rFont val="Calibri"/>
      </rPr>
      <t xml:space="preserve"> to find the production volume for which power consumption equals the available power.</t>
    </r>
    <phoneticPr fontId="1" type="noConversion"/>
  </si>
  <si>
    <t>Cost to extract CO2 from seawater, as gas.</t>
    <phoneticPr fontId="1" type="noConversion"/>
  </si>
  <si>
    <t>Amount of CO2 required to manufacture the indicated quantity of synfuel.</t>
    <phoneticPr fontId="1" type="noConversion"/>
  </si>
  <si>
    <t>Value from Hydrogen Technologies.  $2m per 485 m3/hr</t>
    <phoneticPr fontId="1" type="noConversion"/>
  </si>
  <si>
    <t>Value from Navy paper.  $140m for 82000 gal/day capacity</t>
    <phoneticPr fontId="1" type="noConversion"/>
  </si>
  <si>
    <t>Seawater pumping cost for carbon capture and hydrogen generation processes. (Perhaps it fits inside the 5% O&amp;M?)</t>
    <phoneticPr fontId="1" type="noConversion"/>
  </si>
  <si>
    <t>Volumetric output</t>
    <phoneticPr fontId="1" type="noConversion"/>
  </si>
  <si>
    <t>Mass CO2 required</t>
    <phoneticPr fontId="1" type="noConversion"/>
  </si>
  <si>
    <t>mole</t>
    <phoneticPr fontId="1" type="noConversion"/>
  </si>
  <si>
    <t>11CO2 + 34 H2 = C11H22 + 22H2O</t>
    <phoneticPr fontId="1" type="noConversion"/>
  </si>
  <si>
    <t>Moles H2 required per mol CO2</t>
    <phoneticPr fontId="1" type="noConversion"/>
  </si>
  <si>
    <t>Moles H2 required</t>
    <phoneticPr fontId="1" type="noConversion"/>
  </si>
  <si>
    <t>Volume H2 required</t>
    <phoneticPr fontId="1" type="noConversion"/>
  </si>
  <si>
    <t>m3/yr</t>
    <phoneticPr fontId="1" type="noConversion"/>
  </si>
  <si>
    <t>Comment</t>
    <phoneticPr fontId="1" type="noConversion"/>
  </si>
  <si>
    <t>W</t>
    <phoneticPr fontId="1" type="noConversion"/>
  </si>
  <si>
    <t>Floating Platform</t>
    <phoneticPr fontId="1" type="noConversion"/>
  </si>
  <si>
    <t>$</t>
    <phoneticPr fontId="1" type="noConversion"/>
  </si>
  <si>
    <t>$</t>
    <phoneticPr fontId="1" type="noConversion"/>
  </si>
  <si>
    <t>Nuclear Plant Cost of Capacity</t>
    <phoneticPr fontId="1" type="noConversion"/>
  </si>
  <si>
    <t>$/kW</t>
    <phoneticPr fontId="1" type="noConversion"/>
  </si>
  <si>
    <t>$/W</t>
    <phoneticPr fontId="1" type="noConversion"/>
  </si>
  <si>
    <t>USS Nimitz has 2 reactors for 275 MW minimum</t>
    <phoneticPr fontId="1" type="noConversion"/>
  </si>
  <si>
    <t>$</t>
    <phoneticPr fontId="1" type="noConversion"/>
  </si>
  <si>
    <t>Platform + Plant capital cost</t>
    <phoneticPr fontId="1" type="noConversion"/>
  </si>
  <si>
    <t>Annualized Capex (8% for 30 yrs)</t>
    <phoneticPr fontId="1" type="noConversion"/>
  </si>
  <si>
    <t>Cost Model for US Navy Zero Carbon Nuclear Synfuel Process</t>
    <phoneticPr fontId="1" type="noConversion"/>
  </si>
  <si>
    <t>All capital costs and other assumptions derived from this paper, except for the energy intensity and cost of energy of the carbon capture process.  This is taken from:</t>
    <phoneticPr fontId="1" type="noConversion"/>
  </si>
  <si>
    <t>Based on US Navy Research published in:</t>
    <phoneticPr fontId="1" type="noConversion"/>
  </si>
  <si>
    <t>Fischer Tropsch Synfuel Plant</t>
    <phoneticPr fontId="1" type="noConversion"/>
  </si>
  <si>
    <t>m3/hr</t>
    <phoneticPr fontId="1" type="noConversion"/>
  </si>
  <si>
    <t>$/yr</t>
    <phoneticPr fontId="1" type="noConversion"/>
  </si>
  <si>
    <t>Table 2. Total Process, Navy nuclear, floating platform scenario</t>
    <phoneticPr fontId="1" type="noConversion"/>
  </si>
  <si>
    <r>
      <t xml:space="preserve">Enter the available power in cell </t>
    </r>
    <r>
      <rPr>
        <b/>
        <sz val="14"/>
        <rFont val="Calibri"/>
      </rPr>
      <t>C17</t>
    </r>
    <r>
      <rPr>
        <sz val="14"/>
        <rFont val="Calibri"/>
      </rPr>
      <t xml:space="preserve">.  Use </t>
    </r>
    <r>
      <rPr>
        <i/>
        <sz val="14"/>
        <rFont val="Calibri"/>
      </rPr>
      <t>Goal Seek</t>
    </r>
    <r>
      <rPr>
        <sz val="14"/>
        <rFont val="Calibri"/>
      </rPr>
      <t xml:space="preserve"> to set the value of cell </t>
    </r>
    <r>
      <rPr>
        <b/>
        <sz val="14"/>
        <rFont val="Calibri"/>
      </rPr>
      <t>C18</t>
    </r>
    <r>
      <rPr>
        <sz val="14"/>
        <rFont val="Calibri"/>
      </rPr>
      <t xml:space="preserve"> (consumed power) to the value of cell </t>
    </r>
    <r>
      <rPr>
        <b/>
        <sz val="14"/>
        <rFont val="Calibri"/>
      </rPr>
      <t>C17</t>
    </r>
    <r>
      <rPr>
        <sz val="14"/>
        <rFont val="Calibri"/>
      </rPr>
      <t xml:space="preserve"> (available power) by varying cell </t>
    </r>
    <r>
      <rPr>
        <b/>
        <sz val="14"/>
        <rFont val="Calibri"/>
      </rPr>
      <t>C19</t>
    </r>
    <r>
      <rPr>
        <sz val="14"/>
        <rFont val="Calibri"/>
      </rPr>
      <t xml:space="preserve"> (synfuel production volume).</t>
    </r>
    <phoneticPr fontId="1" type="noConversion"/>
  </si>
  <si>
    <t>Set this to zero to beach the reactor.</t>
    <phoneticPr fontId="1" type="noConversion"/>
  </si>
  <si>
    <t>MW</t>
    <phoneticPr fontId="1" type="noConversion"/>
  </si>
  <si>
    <r>
      <t>"</t>
    </r>
    <r>
      <rPr>
        <i/>
        <sz val="14"/>
        <rFont val="Calibri"/>
      </rPr>
      <t>CO2 extraction from seawater using bipolar membrane electrodialysis</t>
    </r>
    <r>
      <rPr>
        <sz val="14"/>
        <rFont val="Calibri"/>
      </rPr>
      <t xml:space="preserve">", M. D. Eisaman </t>
    </r>
    <r>
      <rPr>
        <i/>
        <sz val="14"/>
        <rFont val="Calibri"/>
      </rPr>
      <t>et. al.</t>
    </r>
    <r>
      <rPr>
        <sz val="14"/>
        <rFont val="Calibri"/>
      </rPr>
      <t>; Energy and Environ. Sci., DOI: 10.1039/c2ee03393c</t>
    </r>
    <phoneticPr fontId="1" type="noConversion"/>
  </si>
  <si>
    <t>To use:</t>
    <phoneticPr fontId="1" type="noConversion"/>
  </si>
  <si>
    <t>Fuel Production</t>
    <phoneticPr fontId="1" type="noConversion"/>
  </si>
  <si>
    <t>Power Production</t>
    <phoneticPr fontId="1" type="noConversion"/>
  </si>
  <si>
    <t>Exclude the cost of energy for carbon capture from final cost calculations.</t>
    <phoneticPr fontId="1" type="noConversion"/>
  </si>
  <si>
    <t>Electricity c/kWh</t>
    <phoneticPr fontId="1" type="noConversion"/>
  </si>
  <si>
    <r>
      <t xml:space="preserve">Alternative electricity costs can be entered directly into cell </t>
    </r>
    <r>
      <rPr>
        <b/>
        <sz val="14"/>
        <rFont val="Calibri"/>
      </rPr>
      <t>E39</t>
    </r>
    <r>
      <rPr>
        <sz val="14"/>
        <rFont val="Calibri"/>
      </rPr>
      <t>, in units of $/J.  To convert c/kWh to $/J, divide by 3.6x10</t>
    </r>
    <r>
      <rPr>
        <vertAlign val="superscript"/>
        <sz val="14"/>
        <rFont val="Calibri"/>
      </rPr>
      <t>8</t>
    </r>
    <r>
      <rPr>
        <sz val="14"/>
        <rFont val="Calibri"/>
      </rPr>
      <t>.</t>
    </r>
    <phoneticPr fontId="1" type="noConversion"/>
  </si>
  <si>
    <t>W</t>
    <phoneticPr fontId="1" type="noConversion"/>
  </si>
  <si>
    <t>Civilian nuclear, Australia, AETA 2020 estimate</t>
    <phoneticPr fontId="1" type="noConversion"/>
  </si>
  <si>
    <t>Navy nuclear, floating platform</t>
    <phoneticPr fontId="1" type="noConversion"/>
  </si>
  <si>
    <t>Established nuclear, median cost</t>
    <phoneticPr fontId="1" type="noConversion"/>
  </si>
  <si>
    <t>Established nuclear, lowest  cost</t>
    <phoneticPr fontId="1" type="noConversion"/>
  </si>
  <si>
    <t>Lowest current Chinese cost ($1296/kW)</t>
    <phoneticPr fontId="1" type="noConversion"/>
  </si>
  <si>
    <t>Navy nuclear, reactor only ($1200/kW)</t>
    <phoneticPr fontId="1" type="noConversion"/>
  </si>
  <si>
    <t>Civilian nuclear, USA, EIA 2017 estimate</t>
    <phoneticPr fontId="1" type="noConversion"/>
  </si>
  <si>
    <t>Fuel cost</t>
    <phoneticPr fontId="1" type="noConversion"/>
  </si>
  <si>
    <t>Total Process</t>
    <phoneticPr fontId="1" type="noConversion"/>
  </si>
  <si>
    <t>MW</t>
    <phoneticPr fontId="1" type="noConversion"/>
  </si>
  <si>
    <t>tCO2/yr</t>
    <phoneticPr fontId="1" type="noConversion"/>
  </si>
  <si>
    <t>CO2 Capture Cost</t>
    <phoneticPr fontId="1" type="noConversion"/>
  </si>
  <si>
    <t>$/tCO2</t>
    <phoneticPr fontId="1" type="noConversion"/>
  </si>
  <si>
    <t>Fuel cost (gallon)</t>
    <phoneticPr fontId="1" type="noConversion"/>
  </si>
  <si>
    <t>Power Consumption</t>
    <phoneticPr fontId="1" type="noConversion"/>
  </si>
  <si>
    <t>Nuclear Plant Cost</t>
    <phoneticPr fontId="1" type="noConversion"/>
  </si>
  <si>
    <t>Mass ratio CO2/CH2 is 44/14</t>
    <phoneticPr fontId="1" type="noConversion"/>
  </si>
  <si>
    <r>
      <t>Molar output C</t>
    </r>
    <r>
      <rPr>
        <vertAlign val="subscript"/>
        <sz val="14"/>
        <rFont val="Calibri"/>
      </rPr>
      <t>11</t>
    </r>
    <r>
      <rPr>
        <sz val="14"/>
        <rFont val="Calibri"/>
      </rPr>
      <t>H</t>
    </r>
    <r>
      <rPr>
        <vertAlign val="subscript"/>
        <sz val="14"/>
        <rFont val="Calibri"/>
      </rPr>
      <t>24</t>
    </r>
    <phoneticPr fontId="1" type="noConversion"/>
  </si>
  <si>
    <t>Cost of synfuel production at site.</t>
    <phoneticPr fontId="1" type="noConversion"/>
  </si>
  <si>
    <t>USS Nimitz has 2 reactors for 275 MW minimum.</t>
    <phoneticPr fontId="1" type="noConversion"/>
  </si>
  <si>
    <t>Cost of Navy nuclear electricity</t>
    <phoneticPr fontId="1" type="noConversion"/>
  </si>
  <si>
    <t>NB: Civilian cost of advanced nuclear is 11 c/kWhr (EIA, cited in Navy paper).</t>
    <phoneticPr fontId="1" type="noConversion"/>
  </si>
  <si>
    <t>In tonnage, for comparison to carbon price.  Formula weight of CO2 is 44.</t>
    <phoneticPr fontId="1" type="noConversion"/>
  </si>
  <si>
    <t>Electrochemical energy cost only</t>
    <phoneticPr fontId="1" type="noConversion"/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</si>
</sst>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.00"/>
    <numFmt numFmtId="169" formatCode="&quot;$&quot;#,##0"/>
    <numFmt numFmtId="170" formatCode="0.00E+00"/>
    <numFmt numFmtId="171" formatCode="0.00"/>
    <numFmt numFmtId="172" formatCode="0"/>
    <numFmt numFmtId="173" formatCode="#,##0"/>
    <numFmt numFmtId="174" formatCode="#,##0.00"/>
  </numFmts>
  <fonts count="15">
    <font>
      <sz val="10"/>
      <name val="Verdana"/>
    </font>
    <font>
      <sz val="8"/>
      <name val="Verdana"/>
    </font>
    <font>
      <sz val="14"/>
      <name val="Calibri"/>
    </font>
    <font>
      <b/>
      <sz val="14"/>
      <name val="Calibri"/>
    </font>
    <font>
      <sz val="14"/>
      <color indexed="12"/>
      <name val="Calibri"/>
    </font>
    <font>
      <vertAlign val="subscript"/>
      <sz val="14"/>
      <name val="Calibri"/>
    </font>
    <font>
      <b/>
      <sz val="14"/>
      <color indexed="12"/>
      <name val="Calibri"/>
    </font>
    <font>
      <i/>
      <sz val="14"/>
      <name val="Calibri"/>
    </font>
    <font>
      <b/>
      <u/>
      <sz val="14"/>
      <name val="Calibri"/>
    </font>
    <font>
      <b/>
      <sz val="10"/>
      <name val="Calibri"/>
    </font>
    <font>
      <sz val="10"/>
      <name val="Calibri"/>
    </font>
    <font>
      <i/>
      <sz val="10"/>
      <name val="Calibri"/>
    </font>
    <font>
      <b/>
      <sz val="10"/>
      <color indexed="12"/>
      <name val="Calibri"/>
    </font>
    <font>
      <sz val="10"/>
      <color indexed="12"/>
      <name val="Calibri"/>
    </font>
    <font>
      <vertAlign val="superscript"/>
      <sz val="14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11" fontId="2" fillId="0" borderId="0" xfId="0" applyNumberFormat="1" applyFont="1"/>
    <xf numFmtId="3" fontId="2" fillId="0" borderId="0" xfId="0" applyNumberFormat="1" applyFont="1"/>
    <xf numFmtId="170" fontId="2" fillId="0" borderId="0" xfId="0" applyNumberFormat="1" applyFont="1"/>
    <xf numFmtId="0" fontId="2" fillId="0" borderId="0" xfId="0" applyFont="1" applyAlignment="1">
      <alignment horizontal="center"/>
    </xf>
    <xf numFmtId="170" fontId="4" fillId="0" borderId="0" xfId="0" applyNumberFormat="1" applyFont="1"/>
    <xf numFmtId="170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9" fontId="4" fillId="0" borderId="7" xfId="0" applyNumberFormat="1" applyFont="1" applyBorder="1"/>
    <xf numFmtId="169" fontId="4" fillId="0" borderId="7" xfId="0" applyNumberFormat="1" applyFont="1" applyBorder="1"/>
    <xf numFmtId="0" fontId="2" fillId="0" borderId="7" xfId="0" quotePrefix="1" applyNumberFormat="1" applyFont="1" applyBorder="1" applyAlignment="1">
      <alignment horizontal="right"/>
    </xf>
    <xf numFmtId="168" fontId="4" fillId="0" borderId="7" xfId="0" applyNumberFormat="1" applyFont="1" applyBorder="1"/>
    <xf numFmtId="0" fontId="2" fillId="0" borderId="6" xfId="0" applyFont="1" applyBorder="1"/>
    <xf numFmtId="0" fontId="2" fillId="0" borderId="9" xfId="0" applyFont="1" applyBorder="1"/>
    <xf numFmtId="170" fontId="2" fillId="0" borderId="9" xfId="0" applyNumberFormat="1" applyFont="1" applyBorder="1"/>
    <xf numFmtId="3" fontId="2" fillId="0" borderId="9" xfId="0" applyNumberFormat="1" applyFont="1" applyBorder="1"/>
    <xf numFmtId="0" fontId="2" fillId="0" borderId="20" xfId="0" applyFont="1" applyBorder="1" applyAlignment="1">
      <alignment horizontal="center"/>
    </xf>
    <xf numFmtId="168" fontId="6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7" fillId="0" borderId="15" xfId="0" applyFont="1" applyBorder="1"/>
    <xf numFmtId="172" fontId="4" fillId="0" borderId="0" xfId="0" applyNumberFormat="1" applyFont="1" applyBorder="1"/>
    <xf numFmtId="173" fontId="4" fillId="0" borderId="0" xfId="0" applyNumberFormat="1" applyFont="1" applyBorder="1"/>
    <xf numFmtId="168" fontId="4" fillId="0" borderId="0" xfId="0" applyNumberFormat="1" applyFont="1" applyBorder="1"/>
    <xf numFmtId="168" fontId="4" fillId="0" borderId="0" xfId="0" applyNumberFormat="1" applyFont="1" applyBorder="1"/>
    <xf numFmtId="168" fontId="4" fillId="0" borderId="20" xfId="0" applyNumberFormat="1" applyFont="1" applyBorder="1"/>
    <xf numFmtId="0" fontId="2" fillId="0" borderId="14" xfId="0" applyFont="1" applyBorder="1"/>
    <xf numFmtId="0" fontId="2" fillId="0" borderId="19" xfId="0" applyFont="1" applyBorder="1"/>
    <xf numFmtId="0" fontId="3" fillId="2" borderId="12" xfId="0" applyFont="1" applyFill="1" applyBorder="1" applyAlignment="1">
      <alignment horizontal="center"/>
    </xf>
    <xf numFmtId="0" fontId="7" fillId="0" borderId="6" xfId="0" applyFont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2" borderId="2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170" fontId="3" fillId="2" borderId="3" xfId="0" applyNumberFormat="1" applyFont="1" applyFill="1" applyBorder="1"/>
    <xf numFmtId="0" fontId="3" fillId="2" borderId="21" xfId="0" applyFont="1" applyFill="1" applyBorder="1"/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left" indent="1"/>
    </xf>
    <xf numFmtId="0" fontId="2" fillId="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0" fontId="2" fillId="0" borderId="7" xfId="0" applyNumberFormat="1" applyFont="1" applyBorder="1"/>
    <xf numFmtId="170" fontId="2" fillId="0" borderId="16" xfId="0" applyNumberFormat="1" applyFont="1" applyBorder="1"/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23" xfId="0" applyFont="1" applyBorder="1"/>
    <xf numFmtId="174" fontId="4" fillId="0" borderId="0" xfId="0" applyNumberFormat="1" applyFont="1" applyBorder="1"/>
    <xf numFmtId="169" fontId="4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170" fontId="9" fillId="2" borderId="0" xfId="0" applyNumberFormat="1" applyFont="1" applyFill="1" applyBorder="1" applyAlignment="1">
      <alignment horizontal="center"/>
    </xf>
    <xf numFmtId="169" fontId="13" fillId="0" borderId="0" xfId="0" applyNumberFormat="1" applyFont="1" applyBorder="1" applyAlignment="1">
      <alignment horizontal="center"/>
    </xf>
    <xf numFmtId="173" fontId="13" fillId="0" borderId="0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0" fontId="9" fillId="0" borderId="1" xfId="0" applyFont="1" applyBorder="1"/>
    <xf numFmtId="169" fontId="13" fillId="0" borderId="24" xfId="0" applyNumberFormat="1" applyFont="1" applyBorder="1" applyAlignment="1">
      <alignment horizontal="center"/>
    </xf>
    <xf numFmtId="170" fontId="13" fillId="0" borderId="1" xfId="0" applyNumberFormat="1" applyFont="1" applyBorder="1" applyAlignment="1">
      <alignment horizontal="center"/>
    </xf>
    <xf numFmtId="170" fontId="13" fillId="0" borderId="24" xfId="0" applyNumberFormat="1" applyFont="1" applyBorder="1" applyAlignment="1">
      <alignment horizontal="center"/>
    </xf>
    <xf numFmtId="0" fontId="11" fillId="0" borderId="1" xfId="0" applyFont="1" applyBorder="1"/>
    <xf numFmtId="168" fontId="12" fillId="0" borderId="1" xfId="0" applyNumberFormat="1" applyFont="1" applyBorder="1" applyAlignment="1">
      <alignment horizontal="center"/>
    </xf>
    <xf numFmtId="169" fontId="13" fillId="0" borderId="24" xfId="0" applyNumberFormat="1" applyFont="1" applyBorder="1" applyAlignment="1">
      <alignment horizontal="center"/>
    </xf>
    <xf numFmtId="169" fontId="4" fillId="0" borderId="7" xfId="0" applyNumberFormat="1" applyFont="1" applyBorder="1"/>
    <xf numFmtId="0" fontId="3" fillId="2" borderId="3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9" fontId="2" fillId="0" borderId="7" xfId="0" applyNumberFormat="1" applyFont="1" applyBorder="1" applyAlignment="1">
      <alignment horizontal="right"/>
    </xf>
    <xf numFmtId="169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173" fontId="4" fillId="0" borderId="7" xfId="0" applyNumberFormat="1" applyFont="1" applyBorder="1" applyAlignment="1">
      <alignment horizontal="right"/>
    </xf>
    <xf numFmtId="11" fontId="2" fillId="0" borderId="7" xfId="0" applyNumberFormat="1" applyFont="1" applyBorder="1" applyAlignment="1">
      <alignment horizontal="right"/>
    </xf>
    <xf numFmtId="171" fontId="4" fillId="0" borderId="7" xfId="0" applyNumberFormat="1" applyFont="1" applyBorder="1" applyAlignment="1">
      <alignment horizontal="right"/>
    </xf>
    <xf numFmtId="172" fontId="2" fillId="0" borderId="7" xfId="0" applyNumberFormat="1" applyFont="1" applyBorder="1" applyAlignment="1">
      <alignment horizontal="right"/>
    </xf>
    <xf numFmtId="172" fontId="4" fillId="0" borderId="7" xfId="0" applyNumberFormat="1" applyFont="1" applyBorder="1" applyAlignment="1">
      <alignment horizontal="right"/>
    </xf>
    <xf numFmtId="172" fontId="6" fillId="0" borderId="7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70" fontId="3" fillId="2" borderId="3" xfId="0" applyNumberFormat="1" applyFont="1" applyFill="1" applyBorder="1" applyAlignment="1">
      <alignment horizontal="right"/>
    </xf>
    <xf numFmtId="170" fontId="4" fillId="0" borderId="7" xfId="0" applyNumberFormat="1" applyFont="1" applyBorder="1" applyAlignment="1">
      <alignment horizontal="right"/>
    </xf>
    <xf numFmtId="170" fontId="3" fillId="2" borderId="11" xfId="0" applyNumberFormat="1" applyFont="1" applyFill="1" applyBorder="1" applyAlignment="1">
      <alignment horizontal="right"/>
    </xf>
    <xf numFmtId="168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168" fontId="6" fillId="0" borderId="7" xfId="0" applyNumberFormat="1" applyFont="1" applyBorder="1" applyAlignment="1">
      <alignment horizontal="right"/>
    </xf>
    <xf numFmtId="173" fontId="4" fillId="0" borderId="7" xfId="0" applyNumberFormat="1" applyFont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/>
    <xf numFmtId="0" fontId="9" fillId="2" borderId="25" xfId="0" applyFont="1" applyFill="1" applyBorder="1" applyAlignment="1">
      <alignment horizontal="center"/>
    </xf>
    <xf numFmtId="171" fontId="13" fillId="0" borderId="1" xfId="0" applyNumberFormat="1" applyFont="1" applyBorder="1" applyAlignment="1">
      <alignment horizontal="center"/>
    </xf>
    <xf numFmtId="172" fontId="13" fillId="0" borderId="0" xfId="0" applyNumberFormat="1" applyFont="1" applyBorder="1" applyAlignment="1">
      <alignment horizontal="center"/>
    </xf>
    <xf numFmtId="169" fontId="4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autoPageBreaks="0"/>
  </sheetPr>
  <dimension ref="B2:K96"/>
  <sheetViews>
    <sheetView tabSelected="1" showRuler="0" workbookViewId="0">
      <selection activeCell="G84" sqref="G84"/>
    </sheetView>
  </sheetViews>
  <sheetFormatPr baseColWidth="10" defaultColWidth="11" defaultRowHeight="18"/>
  <cols>
    <col min="1" max="1" width="5.140625" style="1" customWidth="1"/>
    <col min="2" max="2" width="36.28515625" style="1" customWidth="1"/>
    <col min="3" max="3" width="12.140625" style="1" bestFit="1" customWidth="1"/>
    <col min="4" max="4" width="11" style="6"/>
    <col min="5" max="5" width="13.7109375" style="5" bestFit="1" customWidth="1"/>
    <col min="6" max="6" width="11" style="6"/>
    <col min="7" max="7" width="70.7109375" style="1" customWidth="1"/>
    <col min="8" max="16384" width="11" style="1"/>
  </cols>
  <sheetData>
    <row r="2" spans="2:7">
      <c r="B2" s="42" t="s">
        <v>171</v>
      </c>
    </row>
    <row r="3" spans="2:7">
      <c r="B3" s="43" t="s">
        <v>141</v>
      </c>
    </row>
    <row r="5" spans="2:7">
      <c r="B5" s="1" t="s">
        <v>173</v>
      </c>
    </row>
    <row r="6" spans="2:7" ht="53" customHeight="1">
      <c r="B6" s="112" t="s">
        <v>0</v>
      </c>
      <c r="C6" s="113"/>
      <c r="D6" s="113"/>
      <c r="E6" s="113"/>
    </row>
    <row r="7" spans="2:7">
      <c r="B7" s="1" t="s">
        <v>172</v>
      </c>
    </row>
    <row r="8" spans="2:7">
      <c r="B8" s="44" t="s">
        <v>181</v>
      </c>
    </row>
    <row r="9" spans="2:7">
      <c r="B9" s="44"/>
    </row>
    <row r="10" spans="2:7">
      <c r="B10" s="2" t="s">
        <v>182</v>
      </c>
    </row>
    <row r="11" spans="2:7">
      <c r="B11" s="1" t="s">
        <v>178</v>
      </c>
    </row>
    <row r="12" spans="2:7" ht="20">
      <c r="B12" s="1" t="s">
        <v>187</v>
      </c>
      <c r="E12" s="8"/>
    </row>
    <row r="13" spans="2:7">
      <c r="B13" s="1" t="s">
        <v>140</v>
      </c>
    </row>
    <row r="15" spans="2:7" ht="19" thickBot="1">
      <c r="B15" s="2" t="s">
        <v>91</v>
      </c>
    </row>
    <row r="16" spans="2:7">
      <c r="B16" s="41" t="s">
        <v>197</v>
      </c>
      <c r="C16" s="37" t="s">
        <v>88</v>
      </c>
      <c r="D16" s="37" t="s">
        <v>89</v>
      </c>
      <c r="E16" s="40" t="s">
        <v>159</v>
      </c>
      <c r="F16" s="50"/>
      <c r="G16" s="51"/>
    </row>
    <row r="17" spans="2:7">
      <c r="B17" s="45" t="s">
        <v>184</v>
      </c>
      <c r="C17" s="47">
        <v>200</v>
      </c>
      <c r="D17" s="46" t="s">
        <v>123</v>
      </c>
      <c r="E17" s="52" t="s">
        <v>208</v>
      </c>
      <c r="F17" s="9"/>
      <c r="G17" s="17"/>
    </row>
    <row r="18" spans="2:7">
      <c r="B18" s="30" t="s">
        <v>203</v>
      </c>
      <c r="C18" s="25">
        <f>C51+C66</f>
        <v>200</v>
      </c>
      <c r="D18" s="9" t="s">
        <v>198</v>
      </c>
      <c r="E18" s="48" t="s">
        <v>144</v>
      </c>
      <c r="F18" s="9"/>
      <c r="G18" s="17"/>
    </row>
    <row r="19" spans="2:7">
      <c r="B19" s="30" t="s">
        <v>106</v>
      </c>
      <c r="C19" s="26">
        <v>24015584.823934481</v>
      </c>
      <c r="D19" s="9" t="s">
        <v>52</v>
      </c>
      <c r="E19" s="48" t="s">
        <v>145</v>
      </c>
      <c r="F19" s="9"/>
      <c r="G19" s="17"/>
    </row>
    <row r="20" spans="2:7">
      <c r="B20" s="30" t="s">
        <v>209</v>
      </c>
      <c r="C20" s="53">
        <f>C39</f>
        <v>7.0129027677121893</v>
      </c>
      <c r="D20" s="9" t="s">
        <v>111</v>
      </c>
      <c r="E20" s="48" t="s">
        <v>210</v>
      </c>
      <c r="F20" s="9"/>
      <c r="G20" s="17"/>
    </row>
    <row r="21" spans="2:7">
      <c r="B21" s="30" t="s">
        <v>6</v>
      </c>
      <c r="C21" s="26">
        <f>E44/1000</f>
        <v>213978.8607812562</v>
      </c>
      <c r="D21" s="9" t="s">
        <v>199</v>
      </c>
      <c r="E21" s="48" t="s">
        <v>147</v>
      </c>
      <c r="F21" s="9"/>
      <c r="G21" s="17"/>
    </row>
    <row r="22" spans="2:7">
      <c r="B22" s="30" t="s">
        <v>200</v>
      </c>
      <c r="C22" s="27">
        <f>E61/C21</f>
        <v>114.05076590525142</v>
      </c>
      <c r="D22" s="9" t="s">
        <v>201</v>
      </c>
      <c r="E22" s="48" t="s">
        <v>146</v>
      </c>
      <c r="F22" s="9"/>
      <c r="G22" s="17"/>
    </row>
    <row r="23" spans="2:7">
      <c r="B23" s="30" t="s">
        <v>142</v>
      </c>
      <c r="C23" s="27">
        <f>(E61+E73+E82)/C21</f>
        <v>683.42938154240335</v>
      </c>
      <c r="D23" s="9" t="s">
        <v>143</v>
      </c>
      <c r="E23" s="48" t="s">
        <v>17</v>
      </c>
      <c r="F23" s="9"/>
      <c r="G23" s="17"/>
    </row>
    <row r="24" spans="2:7">
      <c r="B24" s="30" t="s">
        <v>196</v>
      </c>
      <c r="C24" s="28">
        <f>E62+E74+E82</f>
        <v>1.7817735510661155</v>
      </c>
      <c r="D24" s="9" t="s">
        <v>118</v>
      </c>
      <c r="E24" s="48" t="s">
        <v>207</v>
      </c>
      <c r="F24" s="9"/>
      <c r="G24" s="17"/>
    </row>
    <row r="25" spans="2:7" ht="19" thickBot="1">
      <c r="B25" s="31" t="s">
        <v>202</v>
      </c>
      <c r="C25" s="29">
        <f>C24*3.78</f>
        <v>6.7351040230299164</v>
      </c>
      <c r="D25" s="20" t="s">
        <v>131</v>
      </c>
      <c r="E25" s="49" t="s">
        <v>207</v>
      </c>
      <c r="F25" s="20"/>
      <c r="G25" s="23"/>
    </row>
    <row r="27" spans="2:7" ht="19" thickBot="1">
      <c r="B27" s="2" t="s">
        <v>90</v>
      </c>
    </row>
    <row r="28" spans="2:7">
      <c r="B28" s="36" t="s">
        <v>51</v>
      </c>
      <c r="C28" s="81" t="s">
        <v>121</v>
      </c>
      <c r="D28" s="39" t="s">
        <v>122</v>
      </c>
      <c r="E28" s="96" t="s">
        <v>3</v>
      </c>
      <c r="F28" s="39" t="s">
        <v>4</v>
      </c>
      <c r="G28" s="38" t="s">
        <v>159</v>
      </c>
    </row>
    <row r="29" spans="2:7">
      <c r="B29" s="16" t="s">
        <v>98</v>
      </c>
      <c r="C29" s="82">
        <f>C17</f>
        <v>200</v>
      </c>
      <c r="D29" s="11" t="s">
        <v>123</v>
      </c>
      <c r="E29" s="97">
        <f>C29*1000000</f>
        <v>200000000</v>
      </c>
      <c r="F29" s="11" t="s">
        <v>160</v>
      </c>
      <c r="G29" s="17" t="s">
        <v>167</v>
      </c>
    </row>
    <row r="30" spans="2:7">
      <c r="B30" s="16" t="s">
        <v>119</v>
      </c>
      <c r="C30" s="83">
        <v>1</v>
      </c>
      <c r="D30" s="11"/>
      <c r="E30" s="97">
        <f>C30</f>
        <v>1</v>
      </c>
      <c r="F30" s="11">
        <v>1</v>
      </c>
      <c r="G30" s="17"/>
    </row>
    <row r="31" spans="2:7">
      <c r="B31" s="16" t="s">
        <v>161</v>
      </c>
      <c r="C31" s="84">
        <v>650000000</v>
      </c>
      <c r="D31" s="11" t="s">
        <v>162</v>
      </c>
      <c r="E31" s="97">
        <f>C31</f>
        <v>650000000</v>
      </c>
      <c r="F31" s="11" t="s">
        <v>163</v>
      </c>
      <c r="G31" s="17" t="s">
        <v>179</v>
      </c>
    </row>
    <row r="32" spans="2:7">
      <c r="B32" s="16" t="s">
        <v>164</v>
      </c>
      <c r="C32" s="83">
        <v>1200</v>
      </c>
      <c r="D32" s="11" t="s">
        <v>165</v>
      </c>
      <c r="E32" s="97">
        <f>C32/1000</f>
        <v>1.2</v>
      </c>
      <c r="F32" s="11" t="s">
        <v>166</v>
      </c>
      <c r="G32" s="17"/>
    </row>
    <row r="33" spans="2:11">
      <c r="B33" s="16" t="s">
        <v>204</v>
      </c>
      <c r="C33" s="85">
        <f>E33</f>
        <v>240000000</v>
      </c>
      <c r="D33" s="11"/>
      <c r="E33" s="97">
        <f>E29*E32</f>
        <v>240000000</v>
      </c>
      <c r="F33" s="11" t="s">
        <v>97</v>
      </c>
      <c r="G33" s="17"/>
    </row>
    <row r="34" spans="2:11">
      <c r="B34" s="16" t="s">
        <v>120</v>
      </c>
      <c r="C34" s="83"/>
      <c r="D34" s="11"/>
      <c r="E34" s="97">
        <f>E29*E30*365*24*3600</f>
        <v>6307200000000000</v>
      </c>
      <c r="F34" s="11" t="s">
        <v>16</v>
      </c>
      <c r="G34" s="17"/>
    </row>
    <row r="35" spans="2:11">
      <c r="B35" s="16" t="s">
        <v>169</v>
      </c>
      <c r="C35" s="83"/>
      <c r="D35" s="11"/>
      <c r="E35" s="97">
        <f>E31+E32*E29</f>
        <v>890000000</v>
      </c>
      <c r="F35" s="11" t="s">
        <v>168</v>
      </c>
      <c r="G35" s="17"/>
    </row>
    <row r="36" spans="2:11">
      <c r="B36" s="16" t="s">
        <v>170</v>
      </c>
      <c r="C36" s="83"/>
      <c r="D36" s="11"/>
      <c r="E36" s="85">
        <f>E35*(0.08/12)/(1-EXP(-30*12*LN(1+0.08/12)))*12</f>
        <v>78366056.490317568</v>
      </c>
      <c r="F36" s="11" t="s">
        <v>109</v>
      </c>
      <c r="G36" s="17"/>
    </row>
    <row r="37" spans="2:11">
      <c r="B37" s="16" t="s">
        <v>107</v>
      </c>
      <c r="C37" s="83"/>
      <c r="D37" s="11"/>
      <c r="E37" s="85">
        <f>E35*0.05</f>
        <v>44500000</v>
      </c>
      <c r="F37" s="11" t="s">
        <v>110</v>
      </c>
      <c r="G37" s="17"/>
    </row>
    <row r="38" spans="2:11">
      <c r="B38" s="16" t="s">
        <v>108</v>
      </c>
      <c r="C38" s="83"/>
      <c r="D38" s="11"/>
      <c r="E38" s="85">
        <f>SUM(E36:E37)</f>
        <v>122866056.49031757</v>
      </c>
      <c r="F38" s="11" t="s">
        <v>109</v>
      </c>
      <c r="G38" s="17"/>
    </row>
    <row r="39" spans="2:11">
      <c r="B39" s="33" t="s">
        <v>84</v>
      </c>
      <c r="C39" s="86">
        <f>E39*3600*1000*100</f>
        <v>7.0129027677121893</v>
      </c>
      <c r="D39" s="11" t="s">
        <v>111</v>
      </c>
      <c r="E39" s="97">
        <f>E38/E34</f>
        <v>1.9480285465867196E-8</v>
      </c>
      <c r="F39" s="11" t="s">
        <v>8</v>
      </c>
      <c r="G39" s="17" t="s">
        <v>112</v>
      </c>
    </row>
    <row r="40" spans="2:11">
      <c r="B40" s="34" t="s">
        <v>183</v>
      </c>
      <c r="C40" s="87" t="s">
        <v>121</v>
      </c>
      <c r="D40" s="32" t="s">
        <v>122</v>
      </c>
      <c r="E40" s="98" t="s">
        <v>3</v>
      </c>
      <c r="F40" s="32" t="s">
        <v>4</v>
      </c>
      <c r="G40" s="35" t="s">
        <v>159</v>
      </c>
    </row>
    <row r="41" spans="2:11">
      <c r="B41" s="16" t="s">
        <v>151</v>
      </c>
      <c r="C41" s="88">
        <f>C19</f>
        <v>24015584.823934481</v>
      </c>
      <c r="D41" s="11" t="s">
        <v>10</v>
      </c>
      <c r="E41" s="97">
        <f>C41*3.78</f>
        <v>90778910.634472325</v>
      </c>
      <c r="F41" s="11" t="s">
        <v>52</v>
      </c>
      <c r="G41" s="17" t="s">
        <v>53</v>
      </c>
      <c r="K41" s="4"/>
    </row>
    <row r="42" spans="2:11">
      <c r="B42" s="16" t="s">
        <v>54</v>
      </c>
      <c r="C42" s="89"/>
      <c r="D42" s="11"/>
      <c r="E42" s="97">
        <f>E41*0.75</f>
        <v>68084182.975854248</v>
      </c>
      <c r="F42" s="11" t="s">
        <v>11</v>
      </c>
      <c r="G42" s="17"/>
    </row>
    <row r="43" spans="2:11">
      <c r="B43" s="16" t="s">
        <v>206</v>
      </c>
      <c r="C43" s="86"/>
      <c r="D43" s="11"/>
      <c r="E43" s="97">
        <f>E42*1000/(12*11+24)</f>
        <v>436437070.35804003</v>
      </c>
      <c r="F43" s="11" t="s">
        <v>12</v>
      </c>
      <c r="G43" s="17"/>
    </row>
    <row r="44" spans="2:11">
      <c r="B44" s="16" t="s">
        <v>152</v>
      </c>
      <c r="C44" s="86"/>
      <c r="D44" s="11"/>
      <c r="E44" s="97">
        <f>E42*44/14</f>
        <v>213978860.7812562</v>
      </c>
      <c r="F44" s="11" t="s">
        <v>11</v>
      </c>
      <c r="G44" s="17" t="s">
        <v>205</v>
      </c>
    </row>
    <row r="45" spans="2:11">
      <c r="B45" s="16" t="s">
        <v>35</v>
      </c>
      <c r="C45" s="86"/>
      <c r="D45" s="11"/>
      <c r="E45" s="97">
        <f>E43*11</f>
        <v>4800807773.9384403</v>
      </c>
      <c r="F45" s="11" t="s">
        <v>12</v>
      </c>
      <c r="G45" s="17"/>
    </row>
    <row r="46" spans="2:11">
      <c r="B46" s="16" t="s">
        <v>155</v>
      </c>
      <c r="C46" s="90">
        <f>34/11</f>
        <v>3.0909090909090908</v>
      </c>
      <c r="D46" s="11" t="s">
        <v>153</v>
      </c>
      <c r="E46" s="90">
        <f>C46</f>
        <v>3.0909090909090908</v>
      </c>
      <c r="F46" s="11" t="s">
        <v>124</v>
      </c>
      <c r="G46" s="17" t="s">
        <v>154</v>
      </c>
    </row>
    <row r="47" spans="2:11">
      <c r="B47" s="16" t="s">
        <v>156</v>
      </c>
      <c r="C47" s="91"/>
      <c r="D47" s="11"/>
      <c r="E47" s="97">
        <f>34*E43</f>
        <v>14838860392.173361</v>
      </c>
      <c r="F47" s="11" t="s">
        <v>12</v>
      </c>
      <c r="G47" s="18"/>
    </row>
    <row r="48" spans="2:11">
      <c r="B48" s="16" t="s">
        <v>157</v>
      </c>
      <c r="C48" s="92">
        <f>E48/365/24</f>
        <v>37944.117897794895</v>
      </c>
      <c r="D48" s="11" t="s">
        <v>175</v>
      </c>
      <c r="E48" s="97">
        <f>E47*22.4/1000</f>
        <v>332390472.78468329</v>
      </c>
      <c r="F48" s="11" t="s">
        <v>158</v>
      </c>
      <c r="G48" s="19"/>
    </row>
    <row r="49" spans="2:10">
      <c r="B49" s="34" t="s">
        <v>6</v>
      </c>
      <c r="C49" s="87" t="s">
        <v>121</v>
      </c>
      <c r="D49" s="32" t="s">
        <v>122</v>
      </c>
      <c r="E49" s="98" t="s">
        <v>3</v>
      </c>
      <c r="F49" s="32" t="s">
        <v>4</v>
      </c>
      <c r="G49" s="35" t="s">
        <v>159</v>
      </c>
    </row>
    <row r="50" spans="2:10">
      <c r="B50" s="16" t="s">
        <v>113</v>
      </c>
      <c r="C50" s="83">
        <v>242</v>
      </c>
      <c r="D50" s="11" t="s">
        <v>7</v>
      </c>
      <c r="E50" s="97">
        <f>C50*1000</f>
        <v>242000</v>
      </c>
      <c r="F50" s="11" t="s">
        <v>114</v>
      </c>
      <c r="G50" s="17" t="s">
        <v>48</v>
      </c>
    </row>
    <row r="51" spans="2:10">
      <c r="B51" s="16" t="s">
        <v>15</v>
      </c>
      <c r="C51" s="93">
        <f>E51/1000000</f>
        <v>36.840293039481942</v>
      </c>
      <c r="D51" s="11" t="s">
        <v>123</v>
      </c>
      <c r="E51" s="97">
        <f>E50*E45/365/24/3600</f>
        <v>36840293.039481945</v>
      </c>
      <c r="F51" s="11" t="s">
        <v>44</v>
      </c>
      <c r="G51" s="17"/>
    </row>
    <row r="52" spans="2:10">
      <c r="B52" s="16" t="s">
        <v>33</v>
      </c>
      <c r="C52" s="83"/>
      <c r="D52" s="11"/>
      <c r="E52" s="97">
        <f>E50*E39</f>
        <v>4.7142290827398613E-3</v>
      </c>
      <c r="F52" s="11" t="s">
        <v>9</v>
      </c>
      <c r="G52" s="17"/>
    </row>
    <row r="53" spans="2:10">
      <c r="B53" s="16" t="s">
        <v>43</v>
      </c>
      <c r="C53" s="83"/>
      <c r="D53" s="11"/>
      <c r="E53" s="85">
        <f>1000000/44*E52</f>
        <v>107.14157006226958</v>
      </c>
      <c r="F53" s="11" t="s">
        <v>115</v>
      </c>
      <c r="G53" s="17" t="s">
        <v>211</v>
      </c>
    </row>
    <row r="54" spans="2:10">
      <c r="B54" s="16" t="s">
        <v>116</v>
      </c>
      <c r="C54" s="91">
        <f>16000000/82000</f>
        <v>195.1219512195122</v>
      </c>
      <c r="D54" s="11" t="s">
        <v>36</v>
      </c>
      <c r="E54" s="99">
        <f>C54/3.78/365</f>
        <v>0.14142346250598842</v>
      </c>
      <c r="F54" s="11" t="s">
        <v>117</v>
      </c>
      <c r="G54" s="17" t="s">
        <v>138</v>
      </c>
    </row>
    <row r="55" spans="2:10">
      <c r="B55" s="16" t="s">
        <v>38</v>
      </c>
      <c r="C55" s="83"/>
      <c r="D55" s="11"/>
      <c r="E55" s="100">
        <f>0.75*44/14</f>
        <v>2.3571428571428572</v>
      </c>
      <c r="F55" s="11" t="s">
        <v>39</v>
      </c>
      <c r="G55" s="17"/>
    </row>
    <row r="56" spans="2:10">
      <c r="B56" s="16" t="s">
        <v>47</v>
      </c>
      <c r="C56" s="83"/>
      <c r="D56" s="11"/>
      <c r="E56" s="99">
        <f>E54/E55</f>
        <v>5.9997832578298112E-2</v>
      </c>
      <c r="F56" s="11" t="s">
        <v>29</v>
      </c>
      <c r="G56" s="17" t="s">
        <v>37</v>
      </c>
    </row>
    <row r="57" spans="2:10">
      <c r="B57" s="16" t="s">
        <v>30</v>
      </c>
      <c r="C57" s="83"/>
      <c r="D57" s="11"/>
      <c r="E57" s="85">
        <f>E56*E44</f>
        <v>12838267.864448769</v>
      </c>
      <c r="F57" s="11" t="s">
        <v>163</v>
      </c>
      <c r="G57" s="17"/>
      <c r="J57" s="3"/>
    </row>
    <row r="58" spans="2:10">
      <c r="B58" s="16" t="s">
        <v>34</v>
      </c>
      <c r="C58" s="83"/>
      <c r="D58" s="11"/>
      <c r="E58" s="85">
        <f>E45*E50*E39</f>
        <v>22632107.628544208</v>
      </c>
      <c r="F58" s="11" t="s">
        <v>130</v>
      </c>
      <c r="G58" s="17" t="s">
        <v>212</v>
      </c>
      <c r="J58" s="3"/>
    </row>
    <row r="59" spans="2:10">
      <c r="B59" s="16" t="s">
        <v>31</v>
      </c>
      <c r="C59" s="83"/>
      <c r="D59" s="11"/>
      <c r="E59" s="111">
        <f>E57*(0.08/12)/(1-EXP(-30*12*LN(1+0.08/12)))*12</f>
        <v>1130431.9378687877</v>
      </c>
      <c r="F59" s="11" t="s">
        <v>130</v>
      </c>
      <c r="G59" s="17"/>
      <c r="I59" s="8"/>
    </row>
    <row r="60" spans="2:10">
      <c r="B60" s="16" t="s">
        <v>32</v>
      </c>
      <c r="C60" s="83"/>
      <c r="D60" s="11"/>
      <c r="E60" s="85">
        <f>0.05*E57</f>
        <v>641913.39322243852</v>
      </c>
      <c r="F60" s="11" t="s">
        <v>130</v>
      </c>
      <c r="G60" s="17" t="s">
        <v>104</v>
      </c>
    </row>
    <row r="61" spans="2:10">
      <c r="B61" s="16" t="s">
        <v>40</v>
      </c>
      <c r="C61" s="83"/>
      <c r="D61" s="11"/>
      <c r="E61" s="85">
        <f>E58+E59+E60</f>
        <v>24404452.959635437</v>
      </c>
      <c r="F61" s="11" t="s">
        <v>130</v>
      </c>
      <c r="G61" s="17"/>
    </row>
    <row r="62" spans="2:10">
      <c r="B62" s="33" t="s">
        <v>85</v>
      </c>
      <c r="C62" s="83"/>
      <c r="D62" s="11"/>
      <c r="E62" s="101">
        <f>E61/E41</f>
        <v>0.26883394820523554</v>
      </c>
      <c r="F62" s="11" t="s">
        <v>118</v>
      </c>
      <c r="G62" s="17" t="s">
        <v>41</v>
      </c>
    </row>
    <row r="63" spans="2:10">
      <c r="B63" s="34" t="s">
        <v>49</v>
      </c>
      <c r="C63" s="87" t="s">
        <v>121</v>
      </c>
      <c r="D63" s="32" t="s">
        <v>122</v>
      </c>
      <c r="E63" s="98" t="s">
        <v>3</v>
      </c>
      <c r="F63" s="32" t="s">
        <v>4</v>
      </c>
      <c r="G63" s="35" t="s">
        <v>159</v>
      </c>
    </row>
    <row r="64" spans="2:10">
      <c r="B64" s="16" t="s">
        <v>125</v>
      </c>
      <c r="C64" s="94">
        <v>4.3</v>
      </c>
      <c r="D64" s="10" t="s">
        <v>126</v>
      </c>
      <c r="E64" s="97">
        <f>C64*1000*3600</f>
        <v>15480000</v>
      </c>
      <c r="F64" s="11" t="s">
        <v>127</v>
      </c>
      <c r="G64" s="17" t="s">
        <v>50</v>
      </c>
    </row>
    <row r="65" spans="2:7">
      <c r="B65" s="16" t="s">
        <v>42</v>
      </c>
      <c r="C65" s="83"/>
      <c r="D65" s="11"/>
      <c r="E65" s="97">
        <f>E48*E64</f>
        <v>5145404518706897</v>
      </c>
      <c r="F65" s="11" t="s">
        <v>13</v>
      </c>
      <c r="G65" s="17"/>
    </row>
    <row r="66" spans="2:7">
      <c r="B66" s="16" t="s">
        <v>15</v>
      </c>
      <c r="C66" s="93">
        <f>E66/1000000</f>
        <v>163.15970696051806</v>
      </c>
      <c r="D66" s="11" t="s">
        <v>123</v>
      </c>
      <c r="E66" s="97">
        <f>E65/365/24/3600</f>
        <v>163159706.96051806</v>
      </c>
      <c r="F66" s="11" t="s">
        <v>101</v>
      </c>
      <c r="G66" s="17"/>
    </row>
    <row r="67" spans="2:7">
      <c r="B67" s="16" t="s">
        <v>46</v>
      </c>
      <c r="C67" s="91">
        <f>2000000/485</f>
        <v>4123.7113402061859</v>
      </c>
      <c r="D67" s="11" t="s">
        <v>99</v>
      </c>
      <c r="E67" s="97">
        <f>C67/365/24</f>
        <v>0.47074330367650524</v>
      </c>
      <c r="F67" s="11" t="s">
        <v>100</v>
      </c>
      <c r="G67" s="17" t="s">
        <v>148</v>
      </c>
    </row>
    <row r="68" spans="2:7">
      <c r="B68" s="16" t="s">
        <v>30</v>
      </c>
      <c r="C68" s="83"/>
      <c r="D68" s="11"/>
      <c r="E68" s="85">
        <f>E67*E48</f>
        <v>156470589.26925731</v>
      </c>
      <c r="F68" s="11" t="s">
        <v>163</v>
      </c>
      <c r="G68" s="17"/>
    </row>
    <row r="69" spans="2:7">
      <c r="B69" s="16" t="s">
        <v>1</v>
      </c>
      <c r="C69" s="83"/>
      <c r="D69" s="11"/>
      <c r="E69" s="102">
        <f>E68/2000000</f>
        <v>78.235294634628659</v>
      </c>
      <c r="F69" s="11">
        <v>1</v>
      </c>
      <c r="G69" s="17" t="s">
        <v>2</v>
      </c>
    </row>
    <row r="70" spans="2:7">
      <c r="B70" s="16" t="s">
        <v>45</v>
      </c>
      <c r="C70" s="83"/>
      <c r="D70" s="11"/>
      <c r="E70" s="85">
        <f>E65*E39</f>
        <v>100233948.86177336</v>
      </c>
      <c r="F70" s="11" t="s">
        <v>130</v>
      </c>
      <c r="G70" s="17"/>
    </row>
    <row r="71" spans="2:7">
      <c r="B71" s="16" t="s">
        <v>31</v>
      </c>
      <c r="C71" s="83"/>
      <c r="D71" s="11"/>
      <c r="E71" s="85">
        <f>E68*(0.08/12)/(1-EXP(-30*12*LN(1+0.08/12)))*12</f>
        <v>13777509.031177411</v>
      </c>
      <c r="F71" s="11" t="s">
        <v>109</v>
      </c>
      <c r="G71" s="17"/>
    </row>
    <row r="72" spans="2:7">
      <c r="B72" s="16" t="s">
        <v>32</v>
      </c>
      <c r="C72" s="83"/>
      <c r="D72" s="11"/>
      <c r="E72" s="85">
        <f>0.05*E68</f>
        <v>7823529.4634628659</v>
      </c>
      <c r="F72" s="11" t="s">
        <v>176</v>
      </c>
      <c r="G72" s="17" t="s">
        <v>104</v>
      </c>
    </row>
    <row r="73" spans="2:7">
      <c r="B73" s="16" t="s">
        <v>40</v>
      </c>
      <c r="C73" s="83"/>
      <c r="D73" s="11"/>
      <c r="E73" s="85">
        <f>SUM(E70:E72)</f>
        <v>121834987.35641363</v>
      </c>
      <c r="F73" s="11" t="s">
        <v>130</v>
      </c>
      <c r="G73" s="17"/>
    </row>
    <row r="74" spans="2:7">
      <c r="B74" s="33" t="s">
        <v>86</v>
      </c>
      <c r="C74" s="83"/>
      <c r="D74" s="11"/>
      <c r="E74" s="101">
        <f>E73/E41</f>
        <v>1.3421067349771445</v>
      </c>
      <c r="F74" s="11" t="s">
        <v>118</v>
      </c>
      <c r="G74" s="17"/>
    </row>
    <row r="75" spans="2:7">
      <c r="B75" s="34" t="s">
        <v>174</v>
      </c>
      <c r="C75" s="87" t="s">
        <v>121</v>
      </c>
      <c r="D75" s="32" t="s">
        <v>122</v>
      </c>
      <c r="E75" s="98" t="s">
        <v>3</v>
      </c>
      <c r="F75" s="32" t="s">
        <v>4</v>
      </c>
      <c r="G75" s="35" t="s">
        <v>159</v>
      </c>
    </row>
    <row r="76" spans="2:7">
      <c r="B76" s="16" t="s">
        <v>128</v>
      </c>
      <c r="C76" s="83"/>
      <c r="D76" s="11"/>
      <c r="E76" s="14">
        <v>0</v>
      </c>
      <c r="F76" s="11" t="s">
        <v>129</v>
      </c>
      <c r="G76" s="17" t="s">
        <v>94</v>
      </c>
    </row>
    <row r="77" spans="2:7">
      <c r="B77" s="16" t="s">
        <v>102</v>
      </c>
      <c r="C77" s="84">
        <f>140000000/82000</f>
        <v>1707.3170731707316</v>
      </c>
      <c r="D77" s="11" t="s">
        <v>103</v>
      </c>
      <c r="E77" s="15">
        <f>C77/3.78/365</f>
        <v>1.2374552969273986</v>
      </c>
      <c r="F77" s="11" t="s">
        <v>105</v>
      </c>
      <c r="G77" s="17" t="s">
        <v>149</v>
      </c>
    </row>
    <row r="78" spans="2:7">
      <c r="B78" s="16" t="s">
        <v>30</v>
      </c>
      <c r="C78" s="83"/>
      <c r="D78" s="11"/>
      <c r="E78" s="13">
        <f>E77*E41</f>
        <v>112334843.81392674</v>
      </c>
      <c r="F78" s="11" t="s">
        <v>163</v>
      </c>
      <c r="G78" s="17"/>
    </row>
    <row r="79" spans="2:7">
      <c r="B79" s="16" t="s">
        <v>31</v>
      </c>
      <c r="C79" s="83"/>
      <c r="D79" s="11"/>
      <c r="E79" s="80">
        <f>E78*(0.08/12)/(1-EXP(-30*12*LN(1+0.08/12)))*12</f>
        <v>9891279.456351893</v>
      </c>
      <c r="F79" s="11" t="s">
        <v>130</v>
      </c>
      <c r="G79" s="17"/>
    </row>
    <row r="80" spans="2:7">
      <c r="B80" s="16" t="s">
        <v>32</v>
      </c>
      <c r="C80" s="83"/>
      <c r="D80" s="11"/>
      <c r="E80" s="12">
        <f>0.05*E78</f>
        <v>5616742.1906963373</v>
      </c>
      <c r="F80" s="11" t="s">
        <v>130</v>
      </c>
      <c r="G80" s="17"/>
    </row>
    <row r="81" spans="2:8">
      <c r="B81" s="16" t="s">
        <v>40</v>
      </c>
      <c r="C81" s="83"/>
      <c r="D81" s="11"/>
      <c r="E81" s="54">
        <f>SUM(E79:E80)</f>
        <v>15508021.647048231</v>
      </c>
      <c r="F81" s="11" t="s">
        <v>130</v>
      </c>
      <c r="G81" s="17"/>
    </row>
    <row r="82" spans="2:8" ht="19" thickBot="1">
      <c r="B82" s="24" t="s">
        <v>87</v>
      </c>
      <c r="C82" s="95"/>
      <c r="D82" s="22"/>
      <c r="E82" s="21">
        <f>E81/E41</f>
        <v>0.17083286788373539</v>
      </c>
      <c r="F82" s="22" t="s">
        <v>118</v>
      </c>
      <c r="G82" s="23"/>
    </row>
    <row r="83" spans="2:8">
      <c r="E83" s="7"/>
    </row>
    <row r="84" spans="2:8">
      <c r="B84" s="2" t="s">
        <v>132</v>
      </c>
    </row>
    <row r="85" spans="2:8">
      <c r="B85" s="1" t="s">
        <v>150</v>
      </c>
    </row>
    <row r="86" spans="2:8">
      <c r="B86" s="1" t="s">
        <v>139</v>
      </c>
    </row>
    <row r="87" spans="2:8">
      <c r="B87" s="1" t="s">
        <v>133</v>
      </c>
    </row>
    <row r="88" spans="2:8">
      <c r="B88" s="1" t="s">
        <v>134</v>
      </c>
    </row>
    <row r="89" spans="2:8">
      <c r="B89" s="1" t="s">
        <v>135</v>
      </c>
    </row>
    <row r="91" spans="2:8">
      <c r="B91" s="2" t="s">
        <v>136</v>
      </c>
    </row>
    <row r="92" spans="2:8">
      <c r="B92" s="1" t="s">
        <v>137</v>
      </c>
      <c r="C92" s="1" t="s">
        <v>92</v>
      </c>
    </row>
    <row r="93" spans="2:8">
      <c r="C93" s="1" t="s">
        <v>93</v>
      </c>
    </row>
    <row r="94" spans="2:8">
      <c r="C94" s="1" t="s">
        <v>185</v>
      </c>
      <c r="H94" s="5"/>
    </row>
    <row r="95" spans="2:8">
      <c r="C95" s="1" t="s">
        <v>95</v>
      </c>
    </row>
    <row r="96" spans="2:8">
      <c r="C96" s="1" t="s">
        <v>96</v>
      </c>
    </row>
  </sheetData>
  <mergeCells count="1">
    <mergeCell ref="B6:E6"/>
  </mergeCells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autoPageBreaks="0"/>
  </sheetPr>
  <dimension ref="B2:L32"/>
  <sheetViews>
    <sheetView showRuler="0" topLeftCell="A2" zoomScale="125" workbookViewId="0">
      <selection activeCell="G3" sqref="G3:H7"/>
    </sheetView>
  </sheetViews>
  <sheetFormatPr baseColWidth="10" defaultColWidth="11" defaultRowHeight="14"/>
  <cols>
    <col min="1" max="1" width="5.140625" style="58" customWidth="1"/>
    <col min="2" max="2" width="28" style="58" customWidth="1"/>
    <col min="3" max="3" width="7.85546875" style="58" customWidth="1"/>
    <col min="4" max="4" width="11.140625" style="58" customWidth="1"/>
    <col min="5" max="5" width="7" style="58" customWidth="1"/>
    <col min="6" max="6" width="11" style="58"/>
    <col min="7" max="7" width="21" style="58" customWidth="1"/>
    <col min="8" max="8" width="11.7109375" style="58" customWidth="1"/>
    <col min="9" max="9" width="11" style="58"/>
    <col min="10" max="10" width="26.85546875" style="58" customWidth="1"/>
    <col min="11" max="11" width="12.140625" style="58" customWidth="1"/>
    <col min="12" max="12" width="11" style="61"/>
    <col min="13" max="16384" width="11" style="58"/>
  </cols>
  <sheetData>
    <row r="2" spans="2:12">
      <c r="B2" s="57" t="s">
        <v>56</v>
      </c>
      <c r="G2" s="57" t="s">
        <v>18</v>
      </c>
      <c r="J2" s="57" t="s">
        <v>177</v>
      </c>
    </row>
    <row r="3" spans="2:12" ht="28" customHeight="1" thickBot="1">
      <c r="B3" s="105" t="s">
        <v>81</v>
      </c>
      <c r="C3" s="106" t="s">
        <v>186</v>
      </c>
      <c r="D3" s="106" t="s">
        <v>82</v>
      </c>
      <c r="E3" s="106" t="s">
        <v>83</v>
      </c>
      <c r="G3" s="105" t="s">
        <v>19</v>
      </c>
      <c r="H3" s="106" t="s">
        <v>24</v>
      </c>
      <c r="J3" s="107" t="s">
        <v>5</v>
      </c>
      <c r="K3" s="108" t="s">
        <v>57</v>
      </c>
      <c r="L3" s="108" t="s">
        <v>58</v>
      </c>
    </row>
    <row r="4" spans="2:12">
      <c r="B4" s="103" t="s">
        <v>195</v>
      </c>
      <c r="C4" s="104">
        <v>11.1</v>
      </c>
      <c r="D4" s="104">
        <v>176</v>
      </c>
      <c r="E4" s="104">
        <v>2.57</v>
      </c>
      <c r="G4" s="103" t="s">
        <v>20</v>
      </c>
      <c r="H4" s="114" t="s">
        <v>25</v>
      </c>
      <c r="J4" s="62" t="s">
        <v>55</v>
      </c>
      <c r="K4" s="63">
        <v>200</v>
      </c>
      <c r="L4" s="63" t="s">
        <v>198</v>
      </c>
    </row>
    <row r="5" spans="2:12">
      <c r="B5" s="103" t="s">
        <v>189</v>
      </c>
      <c r="C5" s="104">
        <v>9.9</v>
      </c>
      <c r="D5" s="104">
        <v>158</v>
      </c>
      <c r="E5" s="104">
        <v>2.34</v>
      </c>
      <c r="G5" s="103" t="s">
        <v>21</v>
      </c>
      <c r="H5" s="114" t="s">
        <v>26</v>
      </c>
      <c r="J5" s="59" t="s">
        <v>106</v>
      </c>
      <c r="K5" s="70">
        <v>24015584.823934481</v>
      </c>
      <c r="L5" s="55" t="s">
        <v>59</v>
      </c>
    </row>
    <row r="6" spans="2:12">
      <c r="B6" s="59" t="s">
        <v>190</v>
      </c>
      <c r="C6" s="55">
        <v>7</v>
      </c>
      <c r="D6" s="55">
        <v>114</v>
      </c>
      <c r="E6" s="55">
        <v>1.78</v>
      </c>
      <c r="G6" s="59" t="s">
        <v>22</v>
      </c>
      <c r="H6" s="115" t="s">
        <v>27</v>
      </c>
      <c r="J6" s="59" t="s">
        <v>60</v>
      </c>
      <c r="K6" s="64">
        <v>7.0129027677121893</v>
      </c>
      <c r="L6" s="55" t="s">
        <v>61</v>
      </c>
    </row>
    <row r="7" spans="2:12">
      <c r="B7" s="59" t="s">
        <v>191</v>
      </c>
      <c r="C7" s="55">
        <v>5.4</v>
      </c>
      <c r="D7" s="55">
        <v>90</v>
      </c>
      <c r="E7" s="55">
        <v>1.47</v>
      </c>
      <c r="G7" s="60" t="s">
        <v>23</v>
      </c>
      <c r="H7" s="116" t="s">
        <v>28</v>
      </c>
      <c r="J7" s="59" t="s">
        <v>62</v>
      </c>
      <c r="K7" s="70">
        <v>213978.8607812562</v>
      </c>
      <c r="L7" s="55" t="s">
        <v>63</v>
      </c>
    </row>
    <row r="8" spans="2:12">
      <c r="B8" s="59" t="s">
        <v>192</v>
      </c>
      <c r="C8" s="55">
        <v>3.7</v>
      </c>
      <c r="D8" s="55">
        <v>64</v>
      </c>
      <c r="E8" s="55">
        <v>1.1399999999999999</v>
      </c>
      <c r="J8" s="59" t="s">
        <v>64</v>
      </c>
      <c r="K8" s="65">
        <v>114.05076590525142</v>
      </c>
      <c r="L8" s="55" t="s">
        <v>65</v>
      </c>
    </row>
    <row r="9" spans="2:12">
      <c r="B9" s="59" t="s">
        <v>193</v>
      </c>
      <c r="C9" s="55">
        <v>2.04</v>
      </c>
      <c r="D9" s="55">
        <v>39</v>
      </c>
      <c r="E9" s="55">
        <v>0.82</v>
      </c>
      <c r="J9" s="59" t="s">
        <v>66</v>
      </c>
      <c r="K9" s="65">
        <v>683.42938154240335</v>
      </c>
      <c r="L9" s="55" t="s">
        <v>143</v>
      </c>
    </row>
    <row r="10" spans="2:12">
      <c r="B10" s="60" t="s">
        <v>194</v>
      </c>
      <c r="C10" s="56">
        <v>1.89</v>
      </c>
      <c r="D10" s="56">
        <v>37</v>
      </c>
      <c r="E10" s="56">
        <v>0.79</v>
      </c>
      <c r="J10" s="59" t="s">
        <v>196</v>
      </c>
      <c r="K10" s="65">
        <v>1.7817735510661155</v>
      </c>
      <c r="L10" s="55" t="s">
        <v>118</v>
      </c>
    </row>
    <row r="11" spans="2:12">
      <c r="J11" s="71"/>
      <c r="K11" s="72"/>
      <c r="L11" s="72"/>
    </row>
    <row r="12" spans="2:12">
      <c r="J12" s="73" t="s">
        <v>67</v>
      </c>
      <c r="K12" s="56"/>
      <c r="L12" s="56"/>
    </row>
    <row r="13" spans="2:12">
      <c r="J13" s="66" t="s">
        <v>51</v>
      </c>
      <c r="K13" s="68" t="s">
        <v>121</v>
      </c>
      <c r="L13" s="67" t="s">
        <v>68</v>
      </c>
    </row>
    <row r="14" spans="2:12">
      <c r="J14" s="71" t="s">
        <v>161</v>
      </c>
      <c r="K14" s="74">
        <v>650000000</v>
      </c>
      <c r="L14" s="72" t="s">
        <v>69</v>
      </c>
    </row>
    <row r="15" spans="2:12">
      <c r="J15" s="60" t="s">
        <v>70</v>
      </c>
      <c r="K15" s="109">
        <v>1.2</v>
      </c>
      <c r="L15" s="56" t="s">
        <v>166</v>
      </c>
    </row>
    <row r="16" spans="2:12">
      <c r="J16" s="66" t="s">
        <v>106</v>
      </c>
      <c r="K16" s="68" t="s">
        <v>121</v>
      </c>
      <c r="L16" s="67" t="s">
        <v>68</v>
      </c>
    </row>
    <row r="17" spans="10:12">
      <c r="J17" s="71" t="s">
        <v>152</v>
      </c>
      <c r="K17" s="76">
        <v>213978860.7812562</v>
      </c>
      <c r="L17" s="72" t="s">
        <v>11</v>
      </c>
    </row>
    <row r="18" spans="10:12">
      <c r="J18" s="60" t="s">
        <v>157</v>
      </c>
      <c r="K18" s="75">
        <v>332390472.78468329</v>
      </c>
      <c r="L18" s="56" t="s">
        <v>158</v>
      </c>
    </row>
    <row r="19" spans="10:12">
      <c r="J19" s="66" t="s">
        <v>14</v>
      </c>
      <c r="K19" s="68" t="s">
        <v>121</v>
      </c>
      <c r="L19" s="67" t="s">
        <v>68</v>
      </c>
    </row>
    <row r="20" spans="10:12">
      <c r="J20" s="71" t="s">
        <v>113</v>
      </c>
      <c r="K20" s="76">
        <v>242000</v>
      </c>
      <c r="L20" s="72" t="s">
        <v>71</v>
      </c>
    </row>
    <row r="21" spans="10:12">
      <c r="J21" s="59" t="s">
        <v>15</v>
      </c>
      <c r="K21" s="110">
        <v>37</v>
      </c>
      <c r="L21" s="55" t="s">
        <v>180</v>
      </c>
    </row>
    <row r="22" spans="10:12">
      <c r="J22" s="59" t="s">
        <v>72</v>
      </c>
      <c r="K22" s="69">
        <v>12838267.864448769</v>
      </c>
      <c r="L22" s="55" t="s">
        <v>73</v>
      </c>
    </row>
    <row r="23" spans="10:12">
      <c r="J23" s="77" t="s">
        <v>74</v>
      </c>
      <c r="K23" s="78">
        <v>0.26883394820523554</v>
      </c>
      <c r="L23" s="56" t="s">
        <v>75</v>
      </c>
    </row>
    <row r="24" spans="10:12">
      <c r="J24" s="66" t="s">
        <v>76</v>
      </c>
      <c r="K24" s="68" t="s">
        <v>121</v>
      </c>
      <c r="L24" s="67" t="s">
        <v>68</v>
      </c>
    </row>
    <row r="25" spans="10:12">
      <c r="J25" s="71" t="s">
        <v>113</v>
      </c>
      <c r="K25" s="76">
        <v>15480000</v>
      </c>
      <c r="L25" s="72" t="s">
        <v>127</v>
      </c>
    </row>
    <row r="26" spans="10:12">
      <c r="J26" s="59" t="s">
        <v>15</v>
      </c>
      <c r="K26" s="110">
        <v>163</v>
      </c>
      <c r="L26" s="55" t="s">
        <v>188</v>
      </c>
    </row>
    <row r="27" spans="10:12">
      <c r="J27" s="59" t="s">
        <v>30</v>
      </c>
      <c r="K27" s="69">
        <v>156470589.26925731</v>
      </c>
      <c r="L27" s="55" t="s">
        <v>73</v>
      </c>
    </row>
    <row r="28" spans="10:12">
      <c r="J28" s="59" t="s">
        <v>77</v>
      </c>
      <c r="K28" s="70">
        <v>78</v>
      </c>
      <c r="L28" s="55">
        <v>1</v>
      </c>
    </row>
    <row r="29" spans="10:12">
      <c r="J29" s="77" t="s">
        <v>78</v>
      </c>
      <c r="K29" s="78">
        <v>1.3421067349771445</v>
      </c>
      <c r="L29" s="56" t="s">
        <v>75</v>
      </c>
    </row>
    <row r="30" spans="10:12">
      <c r="J30" s="66" t="s">
        <v>79</v>
      </c>
      <c r="K30" s="68" t="s">
        <v>121</v>
      </c>
      <c r="L30" s="67" t="s">
        <v>68</v>
      </c>
    </row>
    <row r="31" spans="10:12">
      <c r="J31" s="71" t="s">
        <v>30</v>
      </c>
      <c r="K31" s="79">
        <v>112334843.81392674</v>
      </c>
      <c r="L31" s="72" t="s">
        <v>73</v>
      </c>
    </row>
    <row r="32" spans="10:12">
      <c r="J32" s="77" t="s">
        <v>80</v>
      </c>
      <c r="K32" s="78">
        <v>0.17083286788373539</v>
      </c>
      <c r="L32" s="56" t="s">
        <v>75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Model</vt:lpstr>
      <vt:lpstr>Tables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Morgan</dc:creator>
  <cp:lastModifiedBy>John Morgan</cp:lastModifiedBy>
  <dcterms:created xsi:type="dcterms:W3CDTF">2012-12-30T03:49:29Z</dcterms:created>
  <dcterms:modified xsi:type="dcterms:W3CDTF">2013-01-14T10:47:23Z</dcterms:modified>
</cp:coreProperties>
</file>